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Summary" state="visible" r:id="rId4"/>
    <sheet sheetId="1" name="Equipment" state="visible" r:id="rId5"/>
    <sheet sheetId="2" name="People" state="visible" r:id="rId6"/>
  </sheets>
  <calcPr calcId="171027"/>
</workbook>
</file>

<file path=xl/sharedStrings.xml><?xml version="1.0" encoding="utf-8"?>
<sst xmlns="http://schemas.openxmlformats.org/spreadsheetml/2006/main" count="170" uniqueCount="103">
  <si>
    <t>Equipment Summary</t>
  </si>
  <si>
    <t>Auto-calculated from your Equipment and People sheets.</t>
  </si>
  <si>
    <t>Key Metrics</t>
  </si>
  <si>
    <t>Warranty Alerts</t>
  </si>
  <si>
    <t>Total Equipment Value</t>
  </si>
  <si>
    <t>Expired warranties</t>
  </si>
  <si>
    <t>Total Items</t>
  </si>
  <si>
    <t>Expiring within 30 days</t>
  </si>
  <si>
    <t>Average Cost per Item</t>
  </si>
  <si>
    <t>Expiring within 90 days</t>
  </si>
  <si>
    <t>Team Size</t>
  </si>
  <si>
    <t>Value at risk (expired)</t>
  </si>
  <si>
    <t>Average Equipment per Person</t>
  </si>
  <si>
    <t>Unassigned Items</t>
  </si>
  <si>
    <t>Value by Category</t>
  </si>
  <si>
    <t>Category</t>
  </si>
  <si>
    <t>Total Value</t>
  </si>
  <si>
    <t>Breakdown by Category</t>
  </si>
  <si>
    <t>Laptop</t>
  </si>
  <si>
    <t>Count</t>
  </si>
  <si>
    <t>Monitor</t>
  </si>
  <si>
    <t>Keyboard</t>
  </si>
  <si>
    <t>Mouse</t>
  </si>
  <si>
    <t>Headset</t>
  </si>
  <si>
    <t>Webcam</t>
  </si>
  <si>
    <t>Chair</t>
  </si>
  <si>
    <t>Desk</t>
  </si>
  <si>
    <t>Phone</t>
  </si>
  <si>
    <t>Tablet</t>
  </si>
  <si>
    <t>Software Licence</t>
  </si>
  <si>
    <t>Other</t>
  </si>
  <si>
    <t>Name</t>
  </si>
  <si>
    <t>Serial Number</t>
  </si>
  <si>
    <t>Assigned To</t>
  </si>
  <si>
    <t>Purchase Date</t>
  </si>
  <si>
    <t>Cost</t>
  </si>
  <si>
    <t>Warranty Expiry</t>
  </si>
  <si>
    <t>Vendor</t>
  </si>
  <si>
    <t>Condition</t>
  </si>
  <si>
    <t>Notes</t>
  </si>
  <si>
    <t>MacBook Pro 16" M3</t>
  </si>
  <si>
    <t>C02ZN1MDLVDL</t>
  </si>
  <si>
    <t>Sarah Chen</t>
  </si>
  <si>
    <t>Apple</t>
  </si>
  <si>
    <t>Good</t>
  </si>
  <si>
    <t>Dev machine — 36GB RAM</t>
  </si>
  <si>
    <t>MacBook Air 15" M3</t>
  </si>
  <si>
    <t>C02YK2NDLVDM</t>
  </si>
  <si>
    <t>James Miller</t>
  </si>
  <si>
    <t>Sales — needs battery check</t>
  </si>
  <si>
    <t>ThinkPad X1 Carbon</t>
  </si>
  <si>
    <t>PF3ABCDE</t>
  </si>
  <si>
    <t>Priya Patel</t>
  </si>
  <si>
    <t>Lenovo</t>
  </si>
  <si>
    <t/>
  </si>
  <si>
    <t>Dell UltraSharp 27" U2723QE</t>
  </si>
  <si>
    <t>CN-04K2M-12345</t>
  </si>
  <si>
    <t>Dell</t>
  </si>
  <si>
    <t>USB-C hub built in</t>
  </si>
  <si>
    <t>CN-04K2M-12346</t>
  </si>
  <si>
    <t>LG 27UK850-W</t>
  </si>
  <si>
    <t>LG2024-78901</t>
  </si>
  <si>
    <t>LG</t>
  </si>
  <si>
    <t>Fair</t>
  </si>
  <si>
    <t>In storage — spare</t>
  </si>
  <si>
    <t>Logitech MX Keys</t>
  </si>
  <si>
    <t>2143-4521-8876</t>
  </si>
  <si>
    <t>Logitech</t>
  </si>
  <si>
    <t>Logitech MX Master 3S</t>
  </si>
  <si>
    <t>2143-9988-1122</t>
  </si>
  <si>
    <t>Sony WH-1000XM5</t>
  </si>
  <si>
    <t>SN-WH5-44321</t>
  </si>
  <si>
    <t>Sony</t>
  </si>
  <si>
    <t>Noise-cancelling — for client calls</t>
  </si>
  <si>
    <t>Jabra Evolve2 75</t>
  </si>
  <si>
    <t>JBR-EV2-99012</t>
  </si>
  <si>
    <t>Jabra</t>
  </si>
  <si>
    <t>Herman Miller Aeron</t>
  </si>
  <si>
    <t>HM-AER-2024-001</t>
  </si>
  <si>
    <t>Herman Miller</t>
  </si>
  <si>
    <t>12-year warranty</t>
  </si>
  <si>
    <t>Logitech Brio 4K</t>
  </si>
  <si>
    <t>LGT-BRIO-55123</t>
  </si>
  <si>
    <t>Figma (annual)</t>
  </si>
  <si>
    <t>Figma</t>
  </si>
  <si>
    <t>Professional plan — renews Jan</t>
  </si>
  <si>
    <t>GitHub Team (annual)</t>
  </si>
  <si>
    <t>GitHub</t>
  </si>
  <si>
    <t>3 seats @ $4/mo — org-wide</t>
  </si>
  <si>
    <t>Role</t>
  </si>
  <si>
    <t>Email</t>
  </si>
  <si>
    <t>Department</t>
  </si>
  <si>
    <t>Start Date</t>
  </si>
  <si>
    <t>Equipment Count</t>
  </si>
  <si>
    <t>Lead Developer</t>
  </si>
  <si>
    <t>sarah@example.com</t>
  </si>
  <si>
    <t>Engineering</t>
  </si>
  <si>
    <t>Account Executive</t>
  </si>
  <si>
    <t>james@example.com</t>
  </si>
  <si>
    <t>Sales</t>
  </si>
  <si>
    <t>Product Designer</t>
  </si>
  <si>
    <t>priya@example.com</t>
  </si>
  <si>
    <t>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</si>
</sst>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"/>
    <numFmt numFmtId="166" formatCode="YYYY-MM-DD"/>
  </numFmts>
  <fonts count="7" x14ac:knownFonts="1">
    <font>
      <color theme="1"/>
      <family val="2"/>
      <scheme val="minor"/>
      <sz val="11"/>
      <name val="Calibri"/>
    </font>
    <font>
      <b/>
      <color rgb="FF1F6EB3"/>
      <sz val="18"/>
      <name val="Calibri"/>
    </font>
    <font>
      <i/>
      <color rgb="FF71717A"/>
      <sz val="10"/>
      <name val="Calibri"/>
    </font>
    <font>
      <b/>
      <color rgb="FF1F6EB3"/>
      <sz val="13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EF5FB"/>
      </patternFill>
    </fill>
    <fill>
      <patternFill patternType="solid">
        <fgColor rgb="FF1F6EB3"/>
      </patternFill>
    </fill>
    <fill>
      <patternFill patternType="solid">
        <fgColor rgb="FFF8F8F8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6EB3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4" fillId="2" borderId="2" xfId="0" applyFont="1" applyFill="1" applyBorder="1"/>
    <xf numFmtId="164" fontId="5" fillId="2" borderId="2" xfId="0" applyNumberFormat="1" applyFont="1" applyFill="1" applyBorder="1"/>
    <xf numFmtId="1" fontId="5" fillId="2" borderId="2" xfId="0" applyNumberFormat="1" applyFont="1" applyFill="1" applyBorder="1"/>
    <xf numFmtId="0" fontId="4" fillId="0" borderId="2" xfId="0" applyFont="1" applyBorder="1"/>
    <xf numFmtId="1" fontId="5" fillId="0" borderId="2" xfId="0" applyNumberFormat="1" applyFont="1" applyBorder="1"/>
    <xf numFmtId="164" fontId="5" fillId="0" borderId="2" xfId="0" applyNumberFormat="1" applyFont="1" applyBorder="1"/>
    <xf numFmtId="165" fontId="5" fillId="2" borderId="2" xfId="0" applyNumberFormat="1" applyFont="1" applyFill="1" applyBorder="1"/>
    <xf numFmtId="0" fontId="6" fillId="3" borderId="2" xfId="0" applyFont="1" applyFill="1" applyBorder="1"/>
    <xf numFmtId="0" fontId="4" fillId="4" borderId="2" xfId="0" applyFont="1" applyFill="1" applyBorder="1"/>
    <xf numFmtId="164" fontId="5" fillId="4" borderId="2" xfId="0" applyNumberFormat="1" applyFont="1" applyFill="1" applyBorder="1"/>
    <xf numFmtId="0" fontId="5" fillId="4" borderId="2" xfId="0" applyFont="1" applyFill="1" applyBorder="1"/>
    <xf numFmtId="0" fontId="5" fillId="0" borderId="2" xfId="0" applyFont="1" applyBorder="1"/>
    <xf numFmtId="166" fontId="0" fillId="0" borderId="0" xfId="0" applyNumberFormat="1"/>
    <xf numFmtId="164" fontId="0" fillId="0" borderId="0" xfId="0" applyNumberFormat="1"/>
    <xf numFmtId="0" fontId="6" fillId="3" borderId="2" xfId="0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166" fontId="4" fillId="0" borderId="2" xfId="0" applyNumberFormat="1" applyFont="1" applyBorder="1"/>
    <xf numFmtId="164" fontId="4" fillId="0" borderId="2" xfId="0" applyNumberFormat="1" applyFont="1" applyBorder="1"/>
    <xf numFmtId="166" fontId="4" fillId="4" borderId="2" xfId="0" applyNumberFormat="1" applyFont="1" applyFill="1" applyBorder="1"/>
    <xf numFmtId="164" fontId="4" fillId="4" borderId="2" xfId="0" applyNumberFormat="1" applyFont="1" applyFill="1" applyBorder="1"/>
  </cellXfs>
  <cellStyles count="1">
    <cellStyle name="Normal" xfId="0" builtinId="0"/>
  </cellStyles>
  <dxfs count="3">
    <dxf>
      <font>
        <b/>
        <color rgb="FFDC2626"/>
      </font>
    </dxf>
    <dxf>
      <font>
        <color rgb="FFDC2626"/>
      </font>
      <fill>
        <patternFill patternType="solid">
          <fgColor rgb="FFFDE8E8"/>
        </patternFill>
      </fill>
    </dxf>
    <dxf>
      <font>
        <color rgb="FFD97706"/>
      </font>
      <fill>
        <patternFill patternType="solid">
          <fgColor rgb="FFFFFB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  <col min="3" max="3" width="22" customWidth="1"/>
    <col min="4" max="4" width="20" customWidth="1"/>
    <col min="5" max="5" width="14" style="17" customWidth="1"/>
    <col min="6" max="6" width="13" style="18" customWidth="1"/>
    <col min="7" max="7" width="16" style="17" customWidth="1"/>
    <col min="8" max="8" width="18" customWidth="1"/>
    <col min="9" max="9" width="13" customWidth="1"/>
    <col min="10" max="10" width="28" customWidth="1"/>
  </cols>
  <sheetData>
    <row r="1" ht="24" customHeight="1" spans="1:10" x14ac:dyDescent="0.25">
      <c r="A1" s="19" t="s">
        <v>31</v>
      </c>
      <c r="B1" s="19" t="s">
        <v>15</v>
      </c>
      <c r="C1" s="19" t="s">
        <v>32</v>
      </c>
      <c r="D1" s="19" t="s">
        <v>33</v>
      </c>
      <c r="E1" s="20" t="s">
        <v>34</v>
      </c>
      <c r="F1" s="21" t="s">
        <v>35</v>
      </c>
      <c r="G1" s="20" t="s">
        <v>36</v>
      </c>
      <c r="H1" s="19" t="s">
        <v>37</v>
      </c>
      <c r="I1" s="19" t="s">
        <v>38</v>
      </c>
      <c r="J1" s="19" t="s">
        <v>39</v>
      </c>
    </row>
    <row r="2" spans="1:10" s="22" customFormat="1" x14ac:dyDescent="0.25">
      <c r="A2" s="8" t="s">
        <v>40</v>
      </c>
      <c r="B2" s="8" t="s">
        <v>18</v>
      </c>
      <c r="C2" s="8" t="s">
        <v>41</v>
      </c>
      <c r="D2" s="8" t="s">
        <v>42</v>
      </c>
      <c r="E2" s="23">
        <v>45519</v>
      </c>
      <c r="F2" s="24">
        <v>2499</v>
      </c>
      <c r="G2" s="23">
        <v>46614</v>
      </c>
      <c r="H2" s="8" t="s">
        <v>43</v>
      </c>
      <c r="I2" s="8" t="s">
        <v>44</v>
      </c>
      <c r="J2" s="8" t="s">
        <v>45</v>
      </c>
    </row>
    <row r="3" spans="1:10" s="22" customFormat="1" x14ac:dyDescent="0.25">
      <c r="A3" s="13" t="s">
        <v>46</v>
      </c>
      <c r="B3" s="13" t="s">
        <v>18</v>
      </c>
      <c r="C3" s="13" t="s">
        <v>47</v>
      </c>
      <c r="D3" s="13" t="s">
        <v>48</v>
      </c>
      <c r="E3" s="25">
        <v>45444</v>
      </c>
      <c r="F3" s="26">
        <v>1299</v>
      </c>
      <c r="G3" s="25">
        <v>45809</v>
      </c>
      <c r="H3" s="13" t="s">
        <v>43</v>
      </c>
      <c r="I3" s="13" t="s">
        <v>44</v>
      </c>
      <c r="J3" s="13" t="s">
        <v>49</v>
      </c>
    </row>
    <row r="4" spans="1:10" s="22" customFormat="1" x14ac:dyDescent="0.25">
      <c r="A4" s="8" t="s">
        <v>50</v>
      </c>
      <c r="B4" s="8" t="s">
        <v>18</v>
      </c>
      <c r="C4" s="8" t="s">
        <v>51</v>
      </c>
      <c r="D4" s="8" t="s">
        <v>52</v>
      </c>
      <c r="E4" s="23">
        <v>45371</v>
      </c>
      <c r="F4" s="24">
        <v>1449</v>
      </c>
      <c r="G4" s="23">
        <v>46466</v>
      </c>
      <c r="H4" s="8" t="s">
        <v>53</v>
      </c>
      <c r="I4" s="8" t="s">
        <v>44</v>
      </c>
      <c r="J4" s="8" t="s">
        <v>54</v>
      </c>
    </row>
    <row r="5" spans="1:10" s="22" customFormat="1" x14ac:dyDescent="0.25">
      <c r="A5" s="13" t="s">
        <v>55</v>
      </c>
      <c r="B5" s="13" t="s">
        <v>20</v>
      </c>
      <c r="C5" s="13" t="s">
        <v>56</v>
      </c>
      <c r="D5" s="13" t="s">
        <v>42</v>
      </c>
      <c r="E5" s="25">
        <v>45519</v>
      </c>
      <c r="F5" s="26">
        <v>520</v>
      </c>
      <c r="G5" s="25">
        <v>46614</v>
      </c>
      <c r="H5" s="13" t="s">
        <v>57</v>
      </c>
      <c r="I5" s="13" t="s">
        <v>44</v>
      </c>
      <c r="J5" s="13" t="s">
        <v>58</v>
      </c>
    </row>
    <row r="6" spans="1:10" s="22" customFormat="1" x14ac:dyDescent="0.25">
      <c r="A6" s="8" t="s">
        <v>55</v>
      </c>
      <c r="B6" s="8" t="s">
        <v>20</v>
      </c>
      <c r="C6" s="8" t="s">
        <v>59</v>
      </c>
      <c r="D6" s="8" t="s">
        <v>52</v>
      </c>
      <c r="E6" s="23">
        <v>45371</v>
      </c>
      <c r="F6" s="24">
        <v>520</v>
      </c>
      <c r="G6" s="23">
        <v>46466</v>
      </c>
      <c r="H6" s="8" t="s">
        <v>57</v>
      </c>
      <c r="I6" s="8" t="s">
        <v>44</v>
      </c>
      <c r="J6" s="8" t="s">
        <v>54</v>
      </c>
    </row>
    <row r="7" spans="1:10" s="22" customFormat="1" x14ac:dyDescent="0.25">
      <c r="A7" s="13" t="s">
        <v>60</v>
      </c>
      <c r="B7" s="13" t="s">
        <v>20</v>
      </c>
      <c r="C7" s="13" t="s">
        <v>61</v>
      </c>
      <c r="D7" s="13" t="s">
        <v>54</v>
      </c>
      <c r="E7" s="25">
        <v>45240</v>
      </c>
      <c r="F7" s="26">
        <v>380</v>
      </c>
      <c r="G7" s="25">
        <v>46336</v>
      </c>
      <c r="H7" s="13" t="s">
        <v>62</v>
      </c>
      <c r="I7" s="13" t="s">
        <v>63</v>
      </c>
      <c r="J7" s="13" t="s">
        <v>64</v>
      </c>
    </row>
    <row r="8" spans="1:10" s="22" customFormat="1" x14ac:dyDescent="0.25">
      <c r="A8" s="8" t="s">
        <v>65</v>
      </c>
      <c r="B8" s="8" t="s">
        <v>21</v>
      </c>
      <c r="C8" s="8" t="s">
        <v>66</v>
      </c>
      <c r="D8" s="8" t="s">
        <v>42</v>
      </c>
      <c r="E8" s="23">
        <v>45519</v>
      </c>
      <c r="F8" s="24">
        <v>100</v>
      </c>
      <c r="G8" s="23">
        <v>46249</v>
      </c>
      <c r="H8" s="8" t="s">
        <v>67</v>
      </c>
      <c r="I8" s="8" t="s">
        <v>44</v>
      </c>
      <c r="J8" s="8" t="s">
        <v>54</v>
      </c>
    </row>
    <row r="9" spans="1:10" s="22" customFormat="1" x14ac:dyDescent="0.25">
      <c r="A9" s="13" t="s">
        <v>68</v>
      </c>
      <c r="B9" s="13" t="s">
        <v>22</v>
      </c>
      <c r="C9" s="13" t="s">
        <v>69</v>
      </c>
      <c r="D9" s="13" t="s">
        <v>42</v>
      </c>
      <c r="E9" s="25">
        <v>45519</v>
      </c>
      <c r="F9" s="26">
        <v>100</v>
      </c>
      <c r="G9" s="25">
        <v>46249</v>
      </c>
      <c r="H9" s="13" t="s">
        <v>67</v>
      </c>
      <c r="I9" s="13" t="s">
        <v>44</v>
      </c>
      <c r="J9" s="13" t="s">
        <v>54</v>
      </c>
    </row>
    <row r="10" spans="1:10" s="22" customFormat="1" x14ac:dyDescent="0.25">
      <c r="A10" s="8" t="s">
        <v>70</v>
      </c>
      <c r="B10" s="8" t="s">
        <v>23</v>
      </c>
      <c r="C10" s="8" t="s">
        <v>71</v>
      </c>
      <c r="D10" s="8" t="s">
        <v>48</v>
      </c>
      <c r="E10" s="23">
        <v>45444</v>
      </c>
      <c r="F10" s="24">
        <v>350</v>
      </c>
      <c r="G10" s="23">
        <v>45809</v>
      </c>
      <c r="H10" s="8" t="s">
        <v>72</v>
      </c>
      <c r="I10" s="8" t="s">
        <v>44</v>
      </c>
      <c r="J10" s="8" t="s">
        <v>73</v>
      </c>
    </row>
    <row r="11" spans="1:10" s="22" customFormat="1" x14ac:dyDescent="0.25">
      <c r="A11" s="13" t="s">
        <v>74</v>
      </c>
      <c r="B11" s="13" t="s">
        <v>23</v>
      </c>
      <c r="C11" s="13" t="s">
        <v>75</v>
      </c>
      <c r="D11" s="13" t="s">
        <v>52</v>
      </c>
      <c r="E11" s="25">
        <v>45392</v>
      </c>
      <c r="F11" s="26">
        <v>250</v>
      </c>
      <c r="G11" s="25">
        <v>46122</v>
      </c>
      <c r="H11" s="13" t="s">
        <v>76</v>
      </c>
      <c r="I11" s="13" t="s">
        <v>44</v>
      </c>
      <c r="J11" s="13" t="s">
        <v>54</v>
      </c>
    </row>
    <row r="12" spans="1:10" s="22" customFormat="1" x14ac:dyDescent="0.25">
      <c r="A12" s="8" t="s">
        <v>77</v>
      </c>
      <c r="B12" s="8" t="s">
        <v>25</v>
      </c>
      <c r="C12" s="8" t="s">
        <v>78</v>
      </c>
      <c r="D12" s="8" t="s">
        <v>42</v>
      </c>
      <c r="E12" s="23">
        <v>45306</v>
      </c>
      <c r="F12" s="24">
        <v>1395</v>
      </c>
      <c r="G12" s="23">
        <v>49689</v>
      </c>
      <c r="H12" s="8" t="s">
        <v>79</v>
      </c>
      <c r="I12" s="8" t="s">
        <v>44</v>
      </c>
      <c r="J12" s="8" t="s">
        <v>80</v>
      </c>
    </row>
    <row r="13" spans="1:10" s="22" customFormat="1" x14ac:dyDescent="0.25">
      <c r="A13" s="13" t="s">
        <v>81</v>
      </c>
      <c r="B13" s="13" t="s">
        <v>24</v>
      </c>
      <c r="C13" s="13" t="s">
        <v>82</v>
      </c>
      <c r="D13" s="13" t="s">
        <v>48</v>
      </c>
      <c r="E13" s="25">
        <v>45444</v>
      </c>
      <c r="F13" s="26">
        <v>170</v>
      </c>
      <c r="G13" s="25">
        <v>46174</v>
      </c>
      <c r="H13" s="13" t="s">
        <v>67</v>
      </c>
      <c r="I13" s="13" t="s">
        <v>44</v>
      </c>
      <c r="J13" s="13" t="s">
        <v>54</v>
      </c>
    </row>
    <row r="14" spans="1:10" s="22" customFormat="1" x14ac:dyDescent="0.25">
      <c r="A14" s="8" t="s">
        <v>83</v>
      </c>
      <c r="B14" s="8" t="s">
        <v>29</v>
      </c>
      <c r="C14" s="8" t="s">
        <v>54</v>
      </c>
      <c r="D14" s="8" t="s">
        <v>42</v>
      </c>
      <c r="E14" s="23">
        <v>45658</v>
      </c>
      <c r="F14" s="24">
        <v>600</v>
      </c>
      <c r="G14" s="23">
        <v>46023</v>
      </c>
      <c r="H14" s="8" t="s">
        <v>84</v>
      </c>
      <c r="I14" s="8" t="s">
        <v>54</v>
      </c>
      <c r="J14" s="8" t="s">
        <v>85</v>
      </c>
    </row>
    <row r="15" spans="1:10" s="22" customFormat="1" x14ac:dyDescent="0.25">
      <c r="A15" s="13" t="s">
        <v>86</v>
      </c>
      <c r="B15" s="13" t="s">
        <v>29</v>
      </c>
      <c r="C15" s="13" t="s">
        <v>54</v>
      </c>
      <c r="D15" s="13" t="s">
        <v>54</v>
      </c>
      <c r="E15" s="25">
        <v>45689</v>
      </c>
      <c r="F15" s="26">
        <v>228</v>
      </c>
      <c r="G15" s="25">
        <v>46054</v>
      </c>
      <c r="H15" s="13" t="s">
        <v>87</v>
      </c>
      <c r="I15" s="13" t="s">
        <v>54</v>
      </c>
      <c r="J15" s="13" t="s">
        <v>88</v>
      </c>
    </row>
    <row r="16" spans="2:9" x14ac:dyDescent="0.25"/>
    <row r="17" spans="2:9" x14ac:dyDescent="0.25"/>
    <row r="18" spans="2:9" x14ac:dyDescent="0.25"/>
    <row r="19" spans="2:9" x14ac:dyDescent="0.25"/>
    <row r="20" spans="2:9" x14ac:dyDescent="0.25"/>
    <row r="21" spans="2:9" x14ac:dyDescent="0.25"/>
    <row r="22" spans="2:9" x14ac:dyDescent="0.25"/>
    <row r="23" spans="2:9" x14ac:dyDescent="0.25"/>
    <row r="24" spans="2:9" x14ac:dyDescent="0.25"/>
    <row r="25" spans="2:9" x14ac:dyDescent="0.25"/>
    <row r="26" spans="2:9" x14ac:dyDescent="0.25"/>
    <row r="27" spans="2:9" x14ac:dyDescent="0.25"/>
    <row r="28" spans="2:9" x14ac:dyDescent="0.25"/>
    <row r="29" spans="2:9" x14ac:dyDescent="0.25"/>
    <row r="30" spans="2:9" x14ac:dyDescent="0.25"/>
    <row r="31" spans="2:9" x14ac:dyDescent="0.25"/>
    <row r="32" spans="2:9" x14ac:dyDescent="0.25"/>
    <row r="33" spans="2:9" x14ac:dyDescent="0.25"/>
    <row r="34" spans="2:9" x14ac:dyDescent="0.25"/>
    <row r="35" spans="2:9" x14ac:dyDescent="0.25"/>
    <row r="36" spans="2:9" x14ac:dyDescent="0.25"/>
    <row r="37" spans="2:9" x14ac:dyDescent="0.25"/>
    <row r="38" spans="2:9" x14ac:dyDescent="0.25"/>
    <row r="39" spans="2:9" x14ac:dyDescent="0.25"/>
    <row r="40" spans="2:9" x14ac:dyDescent="0.25"/>
    <row r="41" spans="2:9" x14ac:dyDescent="0.25"/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spans="2:9" x14ac:dyDescent="0.25"/>
    <row r="50" spans="2:9" x14ac:dyDescent="0.25"/>
    <row r="51" spans="2:9" x14ac:dyDescent="0.25"/>
    <row r="52" spans="2:9" x14ac:dyDescent="0.25"/>
    <row r="53" spans="2:9" x14ac:dyDescent="0.25"/>
    <row r="54" spans="2:9" x14ac:dyDescent="0.25"/>
    <row r="55" spans="2:9" x14ac:dyDescent="0.25"/>
    <row r="56" spans="2:9" x14ac:dyDescent="0.25"/>
    <row r="57" spans="2:9" x14ac:dyDescent="0.25"/>
    <row r="58" spans="2:9" x14ac:dyDescent="0.25"/>
    <row r="59" spans="2:9" x14ac:dyDescent="0.25"/>
    <row r="60" spans="2:9" x14ac:dyDescent="0.25"/>
    <row r="61" spans="2:9" x14ac:dyDescent="0.25"/>
    <row r="62" spans="2:9" x14ac:dyDescent="0.25"/>
    <row r="63" spans="2:9" x14ac:dyDescent="0.25"/>
    <row r="64" spans="2:9" x14ac:dyDescent="0.25"/>
    <row r="65" spans="2:9" x14ac:dyDescent="0.25"/>
    <row r="66" spans="2:9" x14ac:dyDescent="0.25"/>
    <row r="67" spans="2:9" x14ac:dyDescent="0.25"/>
    <row r="68" spans="2:9" x14ac:dyDescent="0.25"/>
    <row r="69" spans="2:9" x14ac:dyDescent="0.25"/>
    <row r="70" spans="2:9" x14ac:dyDescent="0.25"/>
    <row r="71" spans="2:9" x14ac:dyDescent="0.25"/>
    <row r="72" spans="2:9" x14ac:dyDescent="0.25"/>
    <row r="73" spans="2:9" x14ac:dyDescent="0.25"/>
    <row r="74" spans="2:9" x14ac:dyDescent="0.25"/>
    <row r="75" spans="2:9" x14ac:dyDescent="0.25"/>
    <row r="76" spans="2:9" x14ac:dyDescent="0.25"/>
    <row r="77" spans="2:9" x14ac:dyDescent="0.25"/>
    <row r="78" spans="2:9" x14ac:dyDescent="0.25"/>
    <row r="79" spans="2:9" x14ac:dyDescent="0.25"/>
    <row r="80" spans="2:9" x14ac:dyDescent="0.25"/>
    <row r="81" spans="2:9" x14ac:dyDescent="0.25"/>
    <row r="82" spans="2:9" x14ac:dyDescent="0.25"/>
    <row r="83" spans="2:9" x14ac:dyDescent="0.25"/>
    <row r="84" spans="2:9" x14ac:dyDescent="0.25"/>
    <row r="85" spans="2:9" x14ac:dyDescent="0.25"/>
    <row r="86" spans="2:9" x14ac:dyDescent="0.25"/>
    <row r="87" spans="2:9" x14ac:dyDescent="0.25"/>
    <row r="88" spans="2:9" x14ac:dyDescent="0.25"/>
    <row r="89" spans="2:9" x14ac:dyDescent="0.25"/>
    <row r="90" spans="2:9" x14ac:dyDescent="0.25"/>
    <row r="91" spans="2:9" x14ac:dyDescent="0.25"/>
    <row r="92" spans="2:9" x14ac:dyDescent="0.25"/>
    <row r="93" spans="2:9" x14ac:dyDescent="0.25"/>
    <row r="94" spans="2:9" x14ac:dyDescent="0.25"/>
    <row r="95" spans="2:9" x14ac:dyDescent="0.25"/>
    <row r="96" spans="2:9" x14ac:dyDescent="0.25"/>
    <row r="97" spans="2:9" x14ac:dyDescent="0.25"/>
    <row r="98" spans="2:9" x14ac:dyDescent="0.25"/>
    <row r="99" spans="2:9" x14ac:dyDescent="0.25"/>
    <row r="100" spans="2:9" x14ac:dyDescent="0.25"/>
    <row r="101" spans="2:9" x14ac:dyDescent="0.25"/>
    <row r="102" spans="2:9" x14ac:dyDescent="0.25"/>
    <row r="103" spans="2:9" x14ac:dyDescent="0.25"/>
    <row r="104" spans="2:9" x14ac:dyDescent="0.25"/>
    <row r="105" spans="2:9" x14ac:dyDescent="0.25"/>
    <row r="106" spans="2:9" x14ac:dyDescent="0.25"/>
    <row r="107" spans="2:9" x14ac:dyDescent="0.25"/>
    <row r="108" spans="2:9" x14ac:dyDescent="0.25"/>
    <row r="109" spans="2:9" x14ac:dyDescent="0.25"/>
    <row r="110" spans="2:9" x14ac:dyDescent="0.25"/>
    <row r="111" spans="2:9" x14ac:dyDescent="0.25"/>
    <row r="112" spans="2:9" x14ac:dyDescent="0.25"/>
    <row r="113" spans="2:9" x14ac:dyDescent="0.25"/>
    <row r="114" spans="2:9" x14ac:dyDescent="0.25"/>
    <row r="115" spans="2:9" x14ac:dyDescent="0.25"/>
    <row r="116" spans="2:9" x14ac:dyDescent="0.25"/>
    <row r="117" spans="2:9" x14ac:dyDescent="0.25"/>
    <row r="118" spans="2:9" x14ac:dyDescent="0.25"/>
    <row r="119" spans="2:9" x14ac:dyDescent="0.25"/>
    <row r="120" spans="2:9" x14ac:dyDescent="0.25"/>
    <row r="121" spans="2:9" x14ac:dyDescent="0.25"/>
    <row r="122" spans="2:9" x14ac:dyDescent="0.25"/>
    <row r="123" spans="2:9" x14ac:dyDescent="0.25"/>
    <row r="124" spans="2:9" x14ac:dyDescent="0.25"/>
    <row r="125" spans="2:9" x14ac:dyDescent="0.25"/>
    <row r="126" spans="2:9" x14ac:dyDescent="0.25"/>
    <row r="127" spans="2:9" x14ac:dyDescent="0.25"/>
    <row r="128" spans="2:9" x14ac:dyDescent="0.25"/>
    <row r="129" spans="2:9" x14ac:dyDescent="0.25"/>
    <row r="130" spans="2:9" x14ac:dyDescent="0.25"/>
    <row r="131" spans="2:9" x14ac:dyDescent="0.25"/>
    <row r="132" spans="2:9" x14ac:dyDescent="0.25"/>
    <row r="133" spans="2:9" x14ac:dyDescent="0.25"/>
    <row r="134" spans="2:9" x14ac:dyDescent="0.25"/>
    <row r="135" spans="2:9" x14ac:dyDescent="0.25"/>
    <row r="136" spans="2:9" x14ac:dyDescent="0.25"/>
    <row r="137" spans="2:9" x14ac:dyDescent="0.25"/>
    <row r="138" spans="2:9" x14ac:dyDescent="0.25"/>
    <row r="139" spans="2:9" x14ac:dyDescent="0.25"/>
    <row r="140" spans="2:9" x14ac:dyDescent="0.25"/>
    <row r="141" spans="2:9" x14ac:dyDescent="0.25"/>
    <row r="142" spans="2:9" x14ac:dyDescent="0.25"/>
    <row r="143" spans="2:9" x14ac:dyDescent="0.25"/>
    <row r="144" spans="2:9" x14ac:dyDescent="0.25"/>
    <row r="145" spans="2:9" x14ac:dyDescent="0.25"/>
    <row r="146" spans="2:9" x14ac:dyDescent="0.25"/>
    <row r="147" spans="2:9" x14ac:dyDescent="0.25"/>
    <row r="148" spans="2:9" x14ac:dyDescent="0.25"/>
    <row r="149" spans="2:9" x14ac:dyDescent="0.25"/>
    <row r="150" spans="2:9" x14ac:dyDescent="0.25"/>
    <row r="151" spans="2:9" x14ac:dyDescent="0.25"/>
    <row r="152" spans="2:9" x14ac:dyDescent="0.25"/>
    <row r="153" spans="2:9" x14ac:dyDescent="0.25"/>
    <row r="154" spans="2:9" x14ac:dyDescent="0.25"/>
    <row r="155" spans="2:9" x14ac:dyDescent="0.25"/>
    <row r="156" spans="2:9" x14ac:dyDescent="0.25"/>
    <row r="157" spans="2:9" x14ac:dyDescent="0.25"/>
    <row r="158" spans="2:9" x14ac:dyDescent="0.25"/>
    <row r="159" spans="2:9" x14ac:dyDescent="0.25"/>
    <row r="160" spans="2:9" x14ac:dyDescent="0.25"/>
    <row r="161" spans="2:9" x14ac:dyDescent="0.25"/>
    <row r="162" spans="2:9" x14ac:dyDescent="0.25"/>
    <row r="163" spans="2:9" x14ac:dyDescent="0.25"/>
    <row r="164" spans="2:9" x14ac:dyDescent="0.25"/>
    <row r="165" spans="2:9" x14ac:dyDescent="0.25"/>
    <row r="166" spans="2:9" x14ac:dyDescent="0.25"/>
    <row r="167" spans="2:9" x14ac:dyDescent="0.25"/>
    <row r="168" spans="2:9" x14ac:dyDescent="0.25"/>
    <row r="169" spans="2:9" x14ac:dyDescent="0.25"/>
    <row r="170" spans="2:9" x14ac:dyDescent="0.25"/>
    <row r="171" spans="2:9" x14ac:dyDescent="0.25"/>
    <row r="172" spans="2:9" x14ac:dyDescent="0.25"/>
    <row r="173" spans="2:9" x14ac:dyDescent="0.25"/>
    <row r="174" spans="2:9" x14ac:dyDescent="0.25"/>
    <row r="175" spans="2:9" x14ac:dyDescent="0.25"/>
    <row r="176" spans="2:9" x14ac:dyDescent="0.25"/>
    <row r="177" spans="2:9" x14ac:dyDescent="0.25"/>
    <row r="178" spans="2:9" x14ac:dyDescent="0.25"/>
    <row r="179" spans="2:9" x14ac:dyDescent="0.25"/>
    <row r="180" spans="2:9" x14ac:dyDescent="0.25"/>
    <row r="181" spans="2:9" x14ac:dyDescent="0.25"/>
    <row r="182" spans="2:9" x14ac:dyDescent="0.25"/>
    <row r="183" spans="2:9" x14ac:dyDescent="0.25"/>
    <row r="184" spans="2:9" x14ac:dyDescent="0.25"/>
    <row r="185" spans="2:9" x14ac:dyDescent="0.25"/>
    <row r="186" spans="2:9" x14ac:dyDescent="0.25"/>
    <row r="187" spans="2:9" x14ac:dyDescent="0.25"/>
    <row r="188" spans="2:9" x14ac:dyDescent="0.25"/>
    <row r="189" spans="2:9" x14ac:dyDescent="0.25"/>
    <row r="190" spans="2:9" x14ac:dyDescent="0.25"/>
    <row r="191" spans="2:9" x14ac:dyDescent="0.25"/>
    <row r="192" spans="2:9" x14ac:dyDescent="0.25"/>
    <row r="193" spans="2:9" x14ac:dyDescent="0.25"/>
    <row r="194" spans="2:9" x14ac:dyDescent="0.25"/>
    <row r="195" spans="2:9" x14ac:dyDescent="0.25"/>
    <row r="196" spans="2:9" x14ac:dyDescent="0.25"/>
    <row r="197" spans="2:9" x14ac:dyDescent="0.25"/>
    <row r="198" spans="2:9" x14ac:dyDescent="0.25"/>
    <row r="199" spans="2:9" x14ac:dyDescent="0.25"/>
    <row r="200" spans="2:9" x14ac:dyDescent="0.25"/>
  </sheetData>
  <conditionalFormatting sqref="G2:G200">
    <cfRule type="cellIs" dxfId="1" priority="1" operator="lessThan">
      <formula>TODAY()</formula>
    </cfRule>
    <cfRule type="cellIs" dxfId="2" priority="2" operator="lessThan">
      <formula>TODAY()+90</formula>
    </cfRule>
  </conditionalFormatting>
  <dataValidations count="4">
    <dataValidation type="list" allowBlank="1" showErrorMessage="1" errorTitle="Invalid category" error="Pick from the dropdown list." sqref="B10:B200">
      <formula1>"Laptop,Monitor,Keyboard,Mouse,Headset,Webcam,Chair,Desk,Phone,Tablet,Software Licence,Other"</formula1>
    </dataValidation>
    <dataValidation type="list" allowBlank="1" showErrorMessage="1" errorTitle="Invalid category" error="Pick from the dropdown list." sqref="B2:B200">
      <formula1>"Laptop,Monitor,Keyboard,Mouse,Headset,Webcam,Chair,Desk,Phone,Tablet,Software Licence,Other"</formula1>
    </dataValidation>
    <dataValidation type="list" allowBlank="1" sqref="I10:I200">
      <formula1>"Good,Fair,Poor,New,Refurbished"</formula1>
    </dataValidation>
    <dataValidation type="list" allowBlank="1" sqref="I2:I200">
      <formula1>"Good,Fair,Poor,New,Refurbished"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22" customWidth="1"/>
    <col min="3" max="3" width="30" customWidth="1"/>
    <col min="4" max="4" width="18" customWidth="1"/>
    <col min="5" max="5" width="14" style="17" customWidth="1"/>
    <col min="6" max="6" width="18" customWidth="1"/>
  </cols>
  <sheetData>
    <row r="1" ht="24" customHeight="1" spans="1:6" x14ac:dyDescent="0.25">
      <c r="A1" s="19" t="s">
        <v>31</v>
      </c>
      <c r="B1" s="19" t="s">
        <v>89</v>
      </c>
      <c r="C1" s="19" t="s">
        <v>90</v>
      </c>
      <c r="D1" s="19" t="s">
        <v>91</v>
      </c>
      <c r="E1" s="20" t="s">
        <v>92</v>
      </c>
      <c r="F1" s="19" t="s">
        <v>93</v>
      </c>
    </row>
    <row r="2" spans="1:6" s="22" customFormat="1" x14ac:dyDescent="0.25">
      <c r="A2" s="8" t="s">
        <v>42</v>
      </c>
      <c r="B2" s="8" t="s">
        <v>94</v>
      </c>
      <c r="C2" s="8" t="s">
        <v>95</v>
      </c>
      <c r="D2" s="8" t="s">
        <v>96</v>
      </c>
      <c r="E2" s="23">
        <v>45000</v>
      </c>
      <c r="F2" s="8">
        <f>COUNTIF(Equipment!D:D,A2)</f>
      </c>
    </row>
    <row r="3" spans="1:6" s="22" customFormat="1" x14ac:dyDescent="0.25">
      <c r="A3" s="13" t="s">
        <v>48</v>
      </c>
      <c r="B3" s="13" t="s">
        <v>97</v>
      </c>
      <c r="C3" s="13" t="s">
        <v>98</v>
      </c>
      <c r="D3" s="13" t="s">
        <v>99</v>
      </c>
      <c r="E3" s="25">
        <v>45299</v>
      </c>
      <c r="F3" s="13">
        <f>COUNTIF(Equipment!D:D,A3)</f>
      </c>
    </row>
    <row r="4" spans="1:6" s="22" customFormat="1" x14ac:dyDescent="0.25">
      <c r="A4" s="8" t="s">
        <v>52</v>
      </c>
      <c r="B4" s="8" t="s">
        <v>100</v>
      </c>
      <c r="C4" s="8" t="s">
        <v>101</v>
      </c>
      <c r="D4" s="8" t="s">
        <v>102</v>
      </c>
      <c r="E4" s="23">
        <v>45342</v>
      </c>
      <c r="F4" s="8">
        <f>COUNTIF(Equipment!D:D,A4)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FormatPr defaultRowHeight="15" outlineLevelRow="0" outlineLevelCol="0" x14ac:dyDescent="55"/>
  <cols>
    <col min="1" max="1" width="28" customWidth="1"/>
    <col min="2" max="2" width="18" customWidth="1"/>
    <col min="3" max="3" width="4" customWidth="1"/>
    <col min="4" max="4" width="28" customWidth="1"/>
    <col min="5" max="5" width="18" customWidth="1"/>
  </cols>
  <sheetData>
    <row r="1" ht="32" customHeight="1" spans="1:4" x14ac:dyDescent="0.25">
      <c r="A1" s="1" t="s">
        <v>0</v>
      </c>
      <c r="B1" s="1"/>
      <c r="C1" s="1"/>
      <c r="D1" s="1"/>
    </row>
    <row r="2" spans="1:1" x14ac:dyDescent="0.25">
      <c r="A2" s="2" t="s">
        <v>1</v>
      </c>
    </row>
    <row r="4" spans="1:5" x14ac:dyDescent="0.25">
      <c r="A4" s="3" t="s">
        <v>2</v>
      </c>
      <c r="B4" s="4"/>
      <c r="D4" s="3" t="s">
        <v>3</v>
      </c>
      <c r="E4" s="4"/>
    </row>
    <row r="5" spans="1:5" x14ac:dyDescent="0.25">
      <c r="A5" s="5" t="s">
        <v>4</v>
      </c>
      <c r="B5" s="6">
        <f>SUM(Equipment!F2:F200)</f>
      </c>
      <c r="D5" s="5" t="s">
        <v>5</v>
      </c>
      <c r="E5" s="7">
        <f>SUMPRODUCT((Equipment!G2:G200&lt;&gt;"")*1*(Equipment!G2:G200&lt;TODAY())*1)</f>
      </c>
    </row>
    <row r="6" spans="1:5" x14ac:dyDescent="0.25">
      <c r="A6" s="8" t="s">
        <v>6</v>
      </c>
      <c r="B6" s="9">
        <f>COUNTA(Equipment!A2:A200)</f>
      </c>
      <c r="D6" s="8" t="s">
        <v>7</v>
      </c>
      <c r="E6" s="9">
        <f>SUMPRODUCT((Equipment!G2:G200&lt;&gt;"")*1*(Equipment!G2:G200&gt;=TODAY())*1*(Equipment!G2:G200&lt;=TODAY()+30)*1)</f>
      </c>
    </row>
    <row r="7" spans="1:5" x14ac:dyDescent="0.25">
      <c r="A7" s="5" t="s">
        <v>8</v>
      </c>
      <c r="B7" s="6">
        <f>IF(B5&gt;0,B4/B5,0)</f>
      </c>
      <c r="D7" s="5" t="s">
        <v>9</v>
      </c>
      <c r="E7" s="7">
        <f>SUMPRODUCT((Equipment!G2:G200&lt;&gt;"")*1*(Equipment!G2:G200&gt;=TODAY())*1*(Equipment!G2:G200&lt;=TODAY()+90)*1)</f>
      </c>
    </row>
    <row r="8" spans="1:5" x14ac:dyDescent="0.25">
      <c r="A8" s="8" t="s">
        <v>10</v>
      </c>
      <c r="B8" s="9">
        <f>COUNTA(People!A2:A200)</f>
      </c>
      <c r="D8" s="8" t="s">
        <v>11</v>
      </c>
      <c r="E8" s="10">
        <f>SUMPRODUCT((Equipment!G2:G200&lt;&gt;"")*1*(Equipment!G2:G200&lt;TODAY())*1*Equipment!F2:F200)</f>
      </c>
    </row>
    <row r="9" spans="1:2" x14ac:dyDescent="0.25">
      <c r="A9" s="5" t="s">
        <v>12</v>
      </c>
      <c r="B9" s="11">
        <f>IF(B7&gt;0,B5/B7,0)</f>
      </c>
    </row>
    <row r="10" spans="1:2" x14ac:dyDescent="0.25">
      <c r="A10" s="8" t="s">
        <v>13</v>
      </c>
      <c r="B10" s="9">
        <f>SUMPRODUCT((Equipment!A2:A200&lt;&gt;"")*1*(Equipment!D2:D200="")*1)</f>
      </c>
    </row>
    <row r="11" spans="4:5" x14ac:dyDescent="0.25">
      <c r="D11" s="3" t="s">
        <v>14</v>
      </c>
      <c r="E11" s="4"/>
    </row>
    <row r="12" spans="4:5" x14ac:dyDescent="0.25">
      <c r="D12" s="12" t="s">
        <v>15</v>
      </c>
      <c r="E12" s="12" t="s">
        <v>16</v>
      </c>
    </row>
    <row r="13" spans="1:5" x14ac:dyDescent="0.25">
      <c r="A13" s="3" t="s">
        <v>17</v>
      </c>
      <c r="B13" s="4"/>
      <c r="D13" s="13" t="s">
        <v>18</v>
      </c>
      <c r="E13" s="14">
        <f>SUMIF(Equipment!B:B,"Laptop",Equipment!F:F)</f>
      </c>
    </row>
    <row r="14" spans="1:5" x14ac:dyDescent="0.25">
      <c r="A14" s="12" t="s">
        <v>15</v>
      </c>
      <c r="B14" s="12" t="s">
        <v>19</v>
      </c>
      <c r="D14" s="8" t="s">
        <v>20</v>
      </c>
      <c r="E14" s="10">
        <f>SUMIF(Equipment!B:B,"Monitor",Equipment!F:F)</f>
      </c>
    </row>
    <row r="15" spans="1:5" x14ac:dyDescent="0.25">
      <c r="A15" s="13" t="s">
        <v>18</v>
      </c>
      <c r="B15" s="15">
        <f>COUNTIF(Equipment!B:B,"Laptop")</f>
      </c>
      <c r="D15" s="13" t="s">
        <v>21</v>
      </c>
      <c r="E15" s="14">
        <f>SUMIF(Equipment!B:B,"Keyboard",Equipment!F:F)</f>
      </c>
    </row>
    <row r="16" spans="1:5" x14ac:dyDescent="0.25">
      <c r="A16" s="8" t="s">
        <v>20</v>
      </c>
      <c r="B16" s="16">
        <f>COUNTIF(Equipment!B:B,"Monitor")</f>
      </c>
      <c r="D16" s="8" t="s">
        <v>22</v>
      </c>
      <c r="E16" s="10">
        <f>SUMIF(Equipment!B:B,"Mouse",Equipment!F:F)</f>
      </c>
    </row>
    <row r="17" spans="1:5" x14ac:dyDescent="0.25">
      <c r="A17" s="13" t="s">
        <v>21</v>
      </c>
      <c r="B17" s="15">
        <f>COUNTIF(Equipment!B:B,"Keyboard")</f>
      </c>
      <c r="D17" s="13" t="s">
        <v>23</v>
      </c>
      <c r="E17" s="14">
        <f>SUMIF(Equipment!B:B,"Headset",Equipment!F:F)</f>
      </c>
    </row>
    <row r="18" spans="1:5" x14ac:dyDescent="0.25">
      <c r="A18" s="8" t="s">
        <v>22</v>
      </c>
      <c r="B18" s="16">
        <f>COUNTIF(Equipment!B:B,"Mouse")</f>
      </c>
      <c r="D18" s="8" t="s">
        <v>24</v>
      </c>
      <c r="E18" s="10">
        <f>SUMIF(Equipment!B:B,"Webcam",Equipment!F:F)</f>
      </c>
    </row>
    <row r="19" spans="1:5" x14ac:dyDescent="0.25">
      <c r="A19" s="13" t="s">
        <v>23</v>
      </c>
      <c r="B19" s="15">
        <f>COUNTIF(Equipment!B:B,"Headset")</f>
      </c>
      <c r="D19" s="13" t="s">
        <v>25</v>
      </c>
      <c r="E19" s="14">
        <f>SUMIF(Equipment!B:B,"Chair",Equipment!F:F)</f>
      </c>
    </row>
    <row r="20" spans="1:5" x14ac:dyDescent="0.25">
      <c r="A20" s="8" t="s">
        <v>24</v>
      </c>
      <c r="B20" s="16">
        <f>COUNTIF(Equipment!B:B,"Webcam")</f>
      </c>
      <c r="D20" s="8" t="s">
        <v>26</v>
      </c>
      <c r="E20" s="10">
        <f>SUMIF(Equipment!B:B,"Desk",Equipment!F:F)</f>
      </c>
    </row>
    <row r="21" spans="1:5" x14ac:dyDescent="0.25">
      <c r="A21" s="13" t="s">
        <v>25</v>
      </c>
      <c r="B21" s="15">
        <f>COUNTIF(Equipment!B:B,"Chair")</f>
      </c>
      <c r="D21" s="13" t="s">
        <v>27</v>
      </c>
      <c r="E21" s="14">
        <f>SUMIF(Equipment!B:B,"Phone",Equipment!F:F)</f>
      </c>
    </row>
    <row r="22" spans="1:5" x14ac:dyDescent="0.25">
      <c r="A22" s="8" t="s">
        <v>26</v>
      </c>
      <c r="B22" s="16">
        <f>COUNTIF(Equipment!B:B,"Desk")</f>
      </c>
      <c r="D22" s="8" t="s">
        <v>28</v>
      </c>
      <c r="E22" s="10">
        <f>SUMIF(Equipment!B:B,"Tablet",Equipment!F:F)</f>
      </c>
    </row>
    <row r="23" spans="1:5" x14ac:dyDescent="0.25">
      <c r="A23" s="13" t="s">
        <v>27</v>
      </c>
      <c r="B23" s="15">
        <f>COUNTIF(Equipment!B:B,"Phone")</f>
      </c>
      <c r="D23" s="13" t="s">
        <v>29</v>
      </c>
      <c r="E23" s="14">
        <f>SUMIF(Equipment!B:B,"Software Licence",Equipment!F:F)</f>
      </c>
    </row>
    <row r="24" spans="1:5" x14ac:dyDescent="0.25">
      <c r="A24" s="8" t="s">
        <v>28</v>
      </c>
      <c r="B24" s="16">
        <f>COUNTIF(Equipment!B:B,"Tablet")</f>
      </c>
      <c r="D24" s="8" t="s">
        <v>30</v>
      </c>
      <c r="E24" s="10">
        <f>SUMIF(Equipment!B:B,"Other",Equipment!F:F)</f>
      </c>
    </row>
    <row r="25" spans="1:2" x14ac:dyDescent="0.25">
      <c r="A25" s="13" t="s">
        <v>29</v>
      </c>
      <c r="B25" s="15">
        <f>COUNTIF(Equipment!B:B,"Software Licence")</f>
      </c>
    </row>
    <row r="26" spans="1:2" x14ac:dyDescent="0.25">
      <c r="A26" s="8" t="s">
        <v>30</v>
      </c>
      <c r="B26" s="16">
        <f>COUNTIF(Equipment!B:B,"Other")</f>
      </c>
    </row>
  </sheetData>
  <mergeCells count="1">
    <mergeCell ref="A1:D1"/>
  </mergeCells>
  <conditionalFormatting sqref="E5:E7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Equipment</vt:lpstr>
      <vt:lpstr>People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AssetJay</dc:creator>
  <dc:title/>
  <dc:subject/>
  <dc:description/>
  <cp:keywords/>
  <cp:category/>
  <cp:lastModifiedBy>Unknown</cp:lastModifiedBy>
  <dcterms:created xsi:type="dcterms:W3CDTF">2026-03-25T10:55:31Z</dcterms:created>
  <dcterms:modified xsi:type="dcterms:W3CDTF">2026-03-25T10:55:31Z</dcterms:modified>
</cp:coreProperties>
</file>